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harts/chart1.xml" ContentType="application/vnd.openxmlformats-officedocument.drawingml.char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30" windowHeight="7130"/>
  </bookViews>
  <sheets>
    <sheet name="计算公式" sheetId="1" r:id="rId1"/>
  </sheets>
  <calcPr calcId="144525"/>
</workbook>
</file>

<file path=xl/sharedStrings.xml><?xml version="1.0" encoding="utf-8"?>
<sst xmlns="http://schemas.openxmlformats.org/spreadsheetml/2006/main" count="92" uniqueCount="79">
  <si>
    <t>下面表格中，红色字体的是变量，根据项目具体情况修改。修改后会自动得出成本结果。表格忽略了税费、维护人员人力成本等，因为太复杂，且影响不大。绿色字体是最关注的结果。</t>
  </si>
  <si>
    <r>
      <rPr>
        <sz val="11"/>
        <color theme="1"/>
        <rFont val="宋体"/>
        <charset val="134"/>
        <scheme val="minor"/>
      </rPr>
      <t xml:space="preserve">机柜成本分析表 V2.0 </t>
    </r>
    <r>
      <rPr>
        <sz val="4"/>
        <color theme="1"/>
        <rFont val="宋体"/>
        <charset val="134"/>
        <scheme val="minor"/>
      </rPr>
      <t>王洪涛 2011-12-12</t>
    </r>
  </si>
  <si>
    <t>项</t>
  </si>
  <si>
    <t>单位</t>
  </si>
  <si>
    <t>计算公式</t>
  </si>
  <si>
    <t>值</t>
  </si>
  <si>
    <t>说明</t>
  </si>
  <si>
    <t>机柜额定电流</t>
  </si>
  <si>
    <t>A</t>
  </si>
  <si>
    <t>机柜额定功率</t>
  </si>
  <si>
    <t>KW</t>
  </si>
  <si>
    <t>B=A*220/1000</t>
  </si>
  <si>
    <t>数据中心每KW(IT设备耗电）建设成本</t>
  </si>
  <si>
    <t>万</t>
  </si>
  <si>
    <t>C</t>
  </si>
  <si>
    <t>除土地和建筑成本外的所有建设费用</t>
  </si>
  <si>
    <t>年平均PUE</t>
  </si>
  <si>
    <t>D</t>
  </si>
  <si>
    <t>分子是变电站电表的读数</t>
  </si>
  <si>
    <t>折旧年限</t>
  </si>
  <si>
    <t>年</t>
  </si>
  <si>
    <t>E</t>
  </si>
  <si>
    <t>配电、UPS、制冷设备维护费用比例</t>
  </si>
  <si>
    <t>F</t>
  </si>
  <si>
    <t>维护费用与采购费用的比值</t>
  </si>
  <si>
    <t>配电、UPS、制冷设备占总建设成本比</t>
  </si>
  <si>
    <t>G</t>
  </si>
  <si>
    <t>供配电、ups、油机、水泵、精密空调和制冷设备</t>
  </si>
  <si>
    <t>配电、UPS、制冷设备年维护成本</t>
  </si>
  <si>
    <t>KW/万元</t>
  </si>
  <si>
    <t>H=C*F*G</t>
  </si>
  <si>
    <t>电价</t>
  </si>
  <si>
    <t>KWH/元</t>
  </si>
  <si>
    <t>I</t>
  </si>
  <si>
    <t>机柜电力使用效率</t>
  </si>
  <si>
    <t>J</t>
  </si>
  <si>
    <t>估值，实际功耗与额定功耗的比值</t>
  </si>
  <si>
    <t>单机柜，IT设备耗电（年）</t>
  </si>
  <si>
    <t>KWH</t>
  </si>
  <si>
    <t>K=B*J*24*356</t>
  </si>
  <si>
    <t>仅IT设备</t>
  </si>
  <si>
    <t>单机柜，综合耗电（年）</t>
  </si>
  <si>
    <t>L=K*D</t>
  </si>
  <si>
    <t>所有设备功耗，平均分担至单机柜的值</t>
  </si>
  <si>
    <t>单机柜年电力成本</t>
  </si>
  <si>
    <t>元</t>
  </si>
  <si>
    <t>M=L*I</t>
  </si>
  <si>
    <t>单机柜年维护成本</t>
  </si>
  <si>
    <t>N=B*H*10000</t>
  </si>
  <si>
    <t>单机柜年折旧成本</t>
  </si>
  <si>
    <t>O=B*C*G/E*10000</t>
  </si>
  <si>
    <t>年投资收益率</t>
  </si>
  <si>
    <t>P</t>
  </si>
  <si>
    <t>每千瓦年投资收益</t>
  </si>
  <si>
    <t>Q=P*C*10000</t>
  </si>
  <si>
    <t>机柜年成本</t>
  </si>
  <si>
    <t>R=M+N+O+(Q*B)</t>
  </si>
  <si>
    <t>机柜月租用成本</t>
  </si>
  <si>
    <t>S=R/12</t>
  </si>
  <si>
    <t>每千瓦每月租用成本</t>
  </si>
  <si>
    <t>T=S/B</t>
  </si>
  <si>
    <t>每A电每月租用成本</t>
  </si>
  <si>
    <t>U=T*0.22</t>
  </si>
  <si>
    <t>每千瓦IT设备每月分担的折旧成本</t>
  </si>
  <si>
    <t>V=O/12/B</t>
  </si>
  <si>
    <t>每千瓦IT设备每月分担的维护成本</t>
  </si>
  <si>
    <t>W=N/12/B</t>
  </si>
  <si>
    <t>每千瓦IT设备每月分担的电力成本</t>
  </si>
  <si>
    <t>X=M/12/B</t>
  </si>
  <si>
    <t>每千瓦IT设备每月分担的资产收益成本</t>
  </si>
  <si>
    <t>Y=Q/12</t>
  </si>
  <si>
    <t>Z</t>
  </si>
  <si>
    <t>PUE为2时，每kw每月电费</t>
  </si>
  <si>
    <t>PUE每增0.1，增加的电费</t>
  </si>
  <si>
    <t>pue</t>
  </si>
  <si>
    <t>电价1</t>
  </si>
  <si>
    <t>电价2</t>
  </si>
  <si>
    <t>电价3</t>
  </si>
  <si>
    <t>电价4</t>
  </si>
</sst>
</file>

<file path=xl/styles.xml><?xml version="1.0" encoding="utf-8"?>
<styleSheet xmlns="http://schemas.openxmlformats.org/spreadsheetml/2006/main">
  <numFmts count="8">
    <numFmt numFmtId="176" formatCode="0.00_);[Red]\(0.00\)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7" formatCode="0.0000_);[Red]\(0.0000\)"/>
    <numFmt numFmtId="178" formatCode="0_);[Red]\(0\)"/>
    <numFmt numFmtId="179" formatCode="0.00000000_);[Red]\(0.00000000\)"/>
  </numFmts>
  <fonts count="29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b/>
      <sz val="11"/>
      <color rgb="FF00B050"/>
      <name val="宋体"/>
      <charset val="134"/>
      <scheme val="minor"/>
    </font>
    <font>
      <sz val="11"/>
      <color theme="1"/>
      <name val="宋体"/>
      <charset val="134"/>
      <scheme val="minor"/>
    </font>
    <font>
      <i/>
      <sz val="11"/>
      <color theme="1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2"/>
      <name val="Times New Roman"/>
      <charset val="134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4"/>
      <color theme="1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3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12" borderId="26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16" borderId="30" applyNumberFormat="0" applyFon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31" applyNumberFormat="0" applyFill="0" applyAlignment="0" applyProtection="0">
      <alignment vertical="center"/>
    </xf>
    <xf numFmtId="0" fontId="24" fillId="0" borderId="31" applyNumberFormat="0" applyFill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0" borderId="28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5" fillId="5" borderId="29" applyNumberFormat="0" applyAlignment="0" applyProtection="0">
      <alignment vertical="center"/>
    </xf>
    <xf numFmtId="0" fontId="8" fillId="5" borderId="26" applyNumberFormat="0" applyAlignment="0" applyProtection="0">
      <alignment vertical="center"/>
    </xf>
    <xf numFmtId="0" fontId="26" fillId="21" borderId="33" applyNumberForma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25" fillId="0" borderId="32" applyNumberFormat="0" applyFill="0" applyAlignment="0" applyProtection="0">
      <alignment vertical="center"/>
    </xf>
    <xf numFmtId="0" fontId="11" fillId="0" borderId="27" applyNumberFormat="0" applyFill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8" fillId="0" borderId="0"/>
  </cellStyleXfs>
  <cellXfs count="61">
    <xf numFmtId="0" fontId="0" fillId="0" borderId="0" xfId="0">
      <alignment vertical="center"/>
    </xf>
    <xf numFmtId="0" fontId="1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3" borderId="5" xfId="0" applyFill="1" applyBorder="1">
      <alignment vertical="center"/>
    </xf>
    <xf numFmtId="0" fontId="0" fillId="3" borderId="6" xfId="0" applyFill="1" applyBorder="1">
      <alignment vertical="center"/>
    </xf>
    <xf numFmtId="0" fontId="0" fillId="3" borderId="6" xfId="0" applyFill="1" applyBorder="1" applyAlignment="1">
      <alignment horizontal="left" vertical="top"/>
    </xf>
    <xf numFmtId="0" fontId="0" fillId="3" borderId="7" xfId="0" applyFill="1" applyBorder="1" applyAlignment="1">
      <alignment horizontal="left" vertical="top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176" fontId="3" fillId="0" borderId="10" xfId="0" applyNumberFormat="1" applyFont="1" applyBorder="1">
      <alignment vertical="center"/>
    </xf>
    <xf numFmtId="0" fontId="0" fillId="0" borderId="9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7" fontId="0" fillId="0" borderId="14" xfId="0" applyNumberFormat="1" applyBorder="1">
      <alignment vertical="center"/>
    </xf>
    <xf numFmtId="0" fontId="0" fillId="0" borderId="13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0" fillId="0" borderId="13" xfId="0" applyFill="1" applyBorder="1">
      <alignment vertical="center"/>
    </xf>
    <xf numFmtId="177" fontId="3" fillId="0" borderId="14" xfId="0" applyNumberFormat="1" applyFont="1" applyBorder="1">
      <alignment vertical="center"/>
    </xf>
    <xf numFmtId="0" fontId="0" fillId="0" borderId="14" xfId="0" applyBorder="1" applyAlignment="1">
      <alignment horizontal="left" vertical="top"/>
    </xf>
    <xf numFmtId="0" fontId="0" fillId="0" borderId="16" xfId="0" applyBorder="1" applyAlignment="1">
      <alignment horizontal="left" vertical="top"/>
    </xf>
    <xf numFmtId="0" fontId="0" fillId="0" borderId="17" xfId="0" applyBorder="1" applyAlignment="1">
      <alignment horizontal="left" vertical="top"/>
    </xf>
    <xf numFmtId="0" fontId="0" fillId="0" borderId="12" xfId="0" applyFill="1" applyBorder="1">
      <alignment vertical="center"/>
    </xf>
    <xf numFmtId="176" fontId="3" fillId="0" borderId="14" xfId="0" applyNumberFormat="1" applyFont="1" applyBorder="1">
      <alignment vertical="center"/>
    </xf>
    <xf numFmtId="178" fontId="3" fillId="0" borderId="14" xfId="0" applyNumberFormat="1" applyFont="1" applyBorder="1">
      <alignment vertical="center"/>
    </xf>
    <xf numFmtId="9" fontId="3" fillId="0" borderId="14" xfId="0" applyNumberFormat="1" applyFont="1" applyBorder="1">
      <alignment vertical="center"/>
    </xf>
    <xf numFmtId="179" fontId="0" fillId="0" borderId="14" xfId="0" applyNumberFormat="1" applyBorder="1">
      <alignment vertical="center"/>
    </xf>
    <xf numFmtId="0" fontId="0" fillId="0" borderId="18" xfId="0" applyBorder="1">
      <alignment vertical="center"/>
    </xf>
    <xf numFmtId="0" fontId="0" fillId="0" borderId="19" xfId="0" applyFill="1" applyBorder="1">
      <alignment vertical="center"/>
    </xf>
    <xf numFmtId="177" fontId="0" fillId="0" borderId="20" xfId="0" applyNumberFormat="1" applyBorder="1">
      <alignment vertical="center"/>
    </xf>
    <xf numFmtId="0" fontId="0" fillId="0" borderId="19" xfId="0" applyBorder="1" applyAlignment="1">
      <alignment horizontal="left" vertical="top"/>
    </xf>
    <xf numFmtId="0" fontId="0" fillId="0" borderId="21" xfId="0" applyBorder="1" applyAlignment="1">
      <alignment horizontal="left" vertical="top"/>
    </xf>
    <xf numFmtId="0" fontId="0" fillId="0" borderId="2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3" xfId="0" applyBorder="1">
      <alignment vertical="center"/>
    </xf>
    <xf numFmtId="177" fontId="4" fillId="0" borderId="22" xfId="0" applyNumberFormat="1" applyFont="1" applyBorder="1">
      <alignment vertical="center"/>
    </xf>
    <xf numFmtId="0" fontId="0" fillId="0" borderId="3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177" fontId="4" fillId="0" borderId="14" xfId="0" applyNumberFormat="1" applyFont="1" applyBorder="1">
      <alignment vertical="center"/>
    </xf>
    <xf numFmtId="0" fontId="0" fillId="0" borderId="5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6" xfId="0" applyBorder="1">
      <alignment vertical="center"/>
    </xf>
    <xf numFmtId="177" fontId="4" fillId="0" borderId="23" xfId="0" applyNumberFormat="1" applyFont="1" applyBorder="1">
      <alignment vertical="center"/>
    </xf>
    <xf numFmtId="0" fontId="0" fillId="0" borderId="23" xfId="0" applyBorder="1" applyAlignment="1">
      <alignment horizontal="left" vertical="top"/>
    </xf>
    <xf numFmtId="0" fontId="0" fillId="0" borderId="24" xfId="0" applyBorder="1" applyAlignment="1">
      <alignment horizontal="left" vertical="top"/>
    </xf>
    <xf numFmtId="0" fontId="0" fillId="0" borderId="25" xfId="0" applyBorder="1" applyAlignment="1">
      <alignment horizontal="left" vertical="top"/>
    </xf>
    <xf numFmtId="0" fontId="0" fillId="0" borderId="8" xfId="0" applyFill="1" applyBorder="1">
      <alignment vertical="center"/>
    </xf>
    <xf numFmtId="0" fontId="0" fillId="0" borderId="9" xfId="0" applyFill="1" applyBorder="1">
      <alignment vertical="center"/>
    </xf>
    <xf numFmtId="177" fontId="0" fillId="0" borderId="10" xfId="0" applyNumberFormat="1" applyBorder="1">
      <alignment vertical="center"/>
    </xf>
    <xf numFmtId="177" fontId="5" fillId="0" borderId="14" xfId="0" applyNumberFormat="1" applyFont="1" applyBorder="1">
      <alignment vertical="center"/>
    </xf>
    <xf numFmtId="0" fontId="0" fillId="0" borderId="18" xfId="0" applyFill="1" applyBorder="1">
      <alignment vertical="center"/>
    </xf>
    <xf numFmtId="0" fontId="0" fillId="0" borderId="19" xfId="0" applyBorder="1">
      <alignment vertical="center"/>
    </xf>
    <xf numFmtId="176" fontId="0" fillId="0" borderId="20" xfId="0" applyNumberFormat="1" applyBorder="1">
      <alignment vertical="center"/>
    </xf>
    <xf numFmtId="177" fontId="0" fillId="0" borderId="23" xfId="0" applyNumberFormat="1" applyBorder="1">
      <alignment vertical="center"/>
    </xf>
    <xf numFmtId="0" fontId="0" fillId="0" borderId="6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0" xfId="0" applyAlignment="1">
      <alignment vertical="top"/>
    </xf>
    <xf numFmtId="0" fontId="6" fillId="0" borderId="0" xfId="0" applyFo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样式 1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75"/>
      <c:rotY val="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explosion val="25"/>
          <c:dPt>
            <c:idx val="0"/>
            <c:bubble3D val="0"/>
          </c:dPt>
          <c:dPt>
            <c:idx val="1"/>
            <c:bubble3D val="0"/>
            <c:spPr>
              <a:ln cmpd="dbl">
                <a:gradFill>
                  <a:gsLst>
                    <a:gs pos="13000">
                      <a:srgbClr val="4F81BD">
                        <a:tint val="66000"/>
                        <a:satMod val="160000"/>
                        <a:alpha val="88000"/>
                      </a:srgbClr>
                    </a:gs>
                    <a:gs pos="50000">
                      <a:srgbClr val="4F81BD">
                        <a:tint val="44500"/>
                        <a:satMod val="160000"/>
                      </a:srgbClr>
                    </a:gs>
                    <a:gs pos="100000">
                      <a:srgbClr val="4F81BD">
                        <a:tint val="23500"/>
                        <a:satMod val="160000"/>
                      </a:srgbClr>
                    </a:gs>
                  </a:gsLst>
                  <a:lin ang="5400000" scaled="0"/>
                </a:gradFill>
              </a:ln>
              <a:effectLst>
                <a:outerShdw blurRad="50800" dist="50800" dir="5400000" algn="ctr" rotWithShape="0">
                  <a:srgbClr val="000000">
                    <a:alpha val="81000"/>
                  </a:srgbClr>
                </a:outerShdw>
              </a:effectLst>
              <a:scene3d>
                <a:camera prst="orthographicFront"/>
                <a:lightRig rig="freezing" dir="t"/>
              </a:scene3d>
              <a:sp3d prstMaterial="metal"/>
            </c:spPr>
          </c:dPt>
          <c:dPt>
            <c:idx val="2"/>
            <c:bubble3D val="0"/>
          </c:dPt>
          <c:dPt>
            <c:idx val="3"/>
            <c:bubble3D val="0"/>
          </c:dPt>
          <c:dLbls>
            <c:dLbl>
              <c:idx val="0"/>
              <c:layout/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/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</c:dLbl>
            <c:dLbl>
              <c:idx val="3"/>
              <c:layout/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zh-CN"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</a:p>
            </c:txPr>
            <c:dLblPos val="bestFit"/>
            <c:showLegendKey val="0"/>
            <c:showVal val="0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  <c15:showLeaderLines val="1"/>
                <c15:leaderLines/>
              </c:ext>
            </c:extLst>
          </c:dLbls>
          <c:cat>
            <c:multiLvlStrRef>
              <c:f>计算公式!$B$29:$D$32</c:f>
              <c:multiLvlStrCache>
                <c:ptCount val="4"/>
                <c:lvl>
                  <c:pt idx="0">
                    <c:v>V=O/12/B</c:v>
                  </c:pt>
                  <c:pt idx="1">
                    <c:v>W=N/12/B</c:v>
                  </c:pt>
                  <c:pt idx="2">
                    <c:v>X=M/12/B</c:v>
                  </c:pt>
                  <c:pt idx="3">
                    <c:v>Y=Q/12</c:v>
                  </c:pt>
                </c:lvl>
                <c:lvl>
                  <c:pt idx="0">
                    <c:v>元</c:v>
                  </c:pt>
                  <c:pt idx="1">
                    <c:v>元</c:v>
                  </c:pt>
                  <c:pt idx="2">
                    <c:v>元</c:v>
                  </c:pt>
                  <c:pt idx="3">
                    <c:v>元</c:v>
                  </c:pt>
                </c:lvl>
                <c:lvl>
                  <c:pt idx="0">
                    <c:v>每千瓦IT设备每月分担的折旧成本</c:v>
                  </c:pt>
                  <c:pt idx="1">
                    <c:v>每千瓦IT设备每月分担的维护成本</c:v>
                  </c:pt>
                  <c:pt idx="2">
                    <c:v>每千瓦IT设备每月分担的电力成本</c:v>
                  </c:pt>
                  <c:pt idx="3">
                    <c:v>每千瓦IT设备每月分担的资产收益成本</c:v>
                  </c:pt>
                </c:lvl>
              </c:multiLvlStrCache>
            </c:multiLvlStrRef>
          </c:cat>
          <c:val>
            <c:numRef>
              <c:f>计算公式!$E$29:$E$32</c:f>
              <c:numCache>
                <c:formatCode>0.0000_);[Red]\(0.0000\)</c:formatCode>
                <c:ptCount val="4"/>
                <c:pt idx="0">
                  <c:v>305.555555555556</c:v>
                </c:pt>
                <c:pt idx="1">
                  <c:v>146.666666666667</c:v>
                </c:pt>
                <c:pt idx="2">
                  <c:v>872.83562873688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</c:pie3DChart>
    </c:plotArea>
    <c:legend>
      <c:legendPos val="r"/>
      <c:layout/>
      <c:overlay val="0"/>
      <c:txPr>
        <a:bodyPr rot="0" spcFirstLastPara="0" vertOverflow="ellipsis" vert="horz" wrap="square" anchor="ctr" anchorCtr="1"/>
        <a:lstStyle/>
        <a:p>
          <a:pPr>
            <a:defRPr lang="zh-CN"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</a:p>
      </c:txPr>
    </c:legend>
    <c:plotVisOnly val="0"/>
    <c:dispBlanksAs val="gap"/>
    <c:showDLblsOverMax val="0"/>
  </c:chart>
  <c:txPr>
    <a:bodyPr/>
    <a:lstStyle/>
    <a:p>
      <a:pPr>
        <a:defRPr lang="zh-CN"/>
      </a:pPr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219075</xdr:colOff>
      <xdr:row>35</xdr:row>
      <xdr:rowOff>0</xdr:rowOff>
    </xdr:from>
    <xdr:to>
      <xdr:col>4</xdr:col>
      <xdr:colOff>438150</xdr:colOff>
      <xdr:row>51</xdr:row>
      <xdr:rowOff>0</xdr:rowOff>
    </xdr:to>
    <xdr:graphicFrame>
      <xdr:nvGraphicFramePr>
        <xdr:cNvPr id="4" name="图表 3"/>
        <xdr:cNvGraphicFramePr/>
      </xdr:nvGraphicFramePr>
      <xdr:xfrm>
        <a:off x="265430" y="6139180"/>
        <a:ext cx="4533900" cy="28448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M64"/>
  <sheetViews>
    <sheetView tabSelected="1" workbookViewId="0">
      <selection activeCell="E12" sqref="E12"/>
    </sheetView>
  </sheetViews>
  <sheetFormatPr defaultColWidth="9" defaultRowHeight="14"/>
  <cols>
    <col min="1" max="1" width="0.663636363636364" customWidth="1"/>
    <col min="2" max="2" width="37.8909090909091" customWidth="1"/>
    <col min="3" max="3" width="7.66363636363636" customWidth="1"/>
    <col min="4" max="4" width="16.2181818181818" customWidth="1"/>
    <col min="5" max="5" width="12.5545454545455" customWidth="1"/>
    <col min="7" max="7" width="22.2181818181818" customWidth="1"/>
    <col min="8" max="8" width="19.1090909090909" customWidth="1"/>
    <col min="9" max="9" width="1.33636363636364" customWidth="1"/>
    <col min="10" max="10" width="1.44545454545455" customWidth="1"/>
  </cols>
  <sheetData>
    <row r="1" ht="3" customHeight="1"/>
    <row r="2" ht="14.25" customHeight="1"/>
    <row r="3" ht="14.25" customHeight="1" spans="2:8">
      <c r="B3" s="1" t="s">
        <v>0</v>
      </c>
      <c r="C3" s="1"/>
      <c r="D3" s="1"/>
      <c r="E3" s="1"/>
      <c r="F3" s="1"/>
      <c r="G3" s="1"/>
      <c r="H3" s="1"/>
    </row>
    <row r="4" ht="14.25" customHeight="1" spans="2:8">
      <c r="B4" s="1"/>
      <c r="C4" s="1"/>
      <c r="D4" s="1"/>
      <c r="E4" s="1"/>
      <c r="F4" s="1"/>
      <c r="G4" s="1"/>
      <c r="H4" s="1"/>
    </row>
    <row r="5" ht="14.25" customHeight="1" spans="2:13">
      <c r="B5" s="2"/>
      <c r="C5" s="2"/>
      <c r="D5" s="2"/>
      <c r="E5" s="2"/>
      <c r="F5" s="2"/>
      <c r="G5" s="2"/>
      <c r="H5" s="2"/>
      <c r="M5" s="59"/>
    </row>
    <row r="6" spans="2:8">
      <c r="B6" s="3" t="s">
        <v>1</v>
      </c>
      <c r="C6" s="4"/>
      <c r="D6" s="4"/>
      <c r="E6" s="4"/>
      <c r="F6" s="4"/>
      <c r="G6" s="4"/>
      <c r="H6" s="5"/>
    </row>
    <row r="7" ht="14.75" spans="2:8">
      <c r="B7" s="6" t="s">
        <v>2</v>
      </c>
      <c r="C7" s="7" t="s">
        <v>3</v>
      </c>
      <c r="D7" s="7" t="s">
        <v>4</v>
      </c>
      <c r="E7" s="7" t="s">
        <v>5</v>
      </c>
      <c r="F7" s="8" t="s">
        <v>6</v>
      </c>
      <c r="G7" s="8"/>
      <c r="H7" s="9"/>
    </row>
    <row r="8" spans="2:8">
      <c r="B8" s="10" t="s">
        <v>7</v>
      </c>
      <c r="C8" s="11" t="s">
        <v>8</v>
      </c>
      <c r="D8" s="11" t="s">
        <v>8</v>
      </c>
      <c r="E8" s="12">
        <v>13</v>
      </c>
      <c r="F8" s="13"/>
      <c r="G8" s="13"/>
      <c r="H8" s="14"/>
    </row>
    <row r="9" spans="2:8">
      <c r="B9" s="15" t="s">
        <v>9</v>
      </c>
      <c r="C9" s="16" t="s">
        <v>10</v>
      </c>
      <c r="D9" s="16" t="s">
        <v>11</v>
      </c>
      <c r="E9" s="17">
        <f>E8*220/1000</f>
        <v>2.86</v>
      </c>
      <c r="F9" s="18"/>
      <c r="G9" s="18"/>
      <c r="H9" s="19"/>
    </row>
    <row r="10" ht="14.4" customHeight="1" spans="2:8">
      <c r="B10" s="15" t="s">
        <v>12</v>
      </c>
      <c r="C10" s="20" t="s">
        <v>13</v>
      </c>
      <c r="D10" s="16" t="s">
        <v>14</v>
      </c>
      <c r="E10" s="21">
        <v>2.75</v>
      </c>
      <c r="F10" s="22" t="s">
        <v>15</v>
      </c>
      <c r="G10" s="23"/>
      <c r="H10" s="24"/>
    </row>
    <row r="11" spans="2:8">
      <c r="B11" s="25" t="s">
        <v>16</v>
      </c>
      <c r="C11" s="20"/>
      <c r="D11" s="20" t="s">
        <v>17</v>
      </c>
      <c r="E11" s="26">
        <v>1.7</v>
      </c>
      <c r="F11" s="18" t="s">
        <v>18</v>
      </c>
      <c r="G11" s="18"/>
      <c r="H11" s="19"/>
    </row>
    <row r="12" spans="2:8">
      <c r="B12" s="25" t="s">
        <v>19</v>
      </c>
      <c r="C12" s="20" t="s">
        <v>20</v>
      </c>
      <c r="D12" s="20" t="s">
        <v>21</v>
      </c>
      <c r="E12" s="27">
        <v>6</v>
      </c>
      <c r="F12" s="18"/>
      <c r="G12" s="18"/>
      <c r="H12" s="19"/>
    </row>
    <row r="13" spans="2:8">
      <c r="B13" s="25" t="s">
        <v>22</v>
      </c>
      <c r="C13" s="20"/>
      <c r="D13" s="20" t="s">
        <v>23</v>
      </c>
      <c r="E13" s="28">
        <v>0.08</v>
      </c>
      <c r="F13" s="23" t="s">
        <v>24</v>
      </c>
      <c r="G13" s="23"/>
      <c r="H13" s="24"/>
    </row>
    <row r="14" spans="2:8">
      <c r="B14" s="25" t="s">
        <v>25</v>
      </c>
      <c r="C14" s="20"/>
      <c r="D14" s="20" t="s">
        <v>26</v>
      </c>
      <c r="E14" s="28">
        <v>0.8</v>
      </c>
      <c r="F14" s="18" t="s">
        <v>27</v>
      </c>
      <c r="G14" s="18"/>
      <c r="H14" s="19"/>
    </row>
    <row r="15" spans="2:8">
      <c r="B15" s="25" t="s">
        <v>28</v>
      </c>
      <c r="C15" s="20" t="s">
        <v>29</v>
      </c>
      <c r="D15" s="20" t="s">
        <v>30</v>
      </c>
      <c r="E15" s="29">
        <f>E10*E13*E14</f>
        <v>0.176</v>
      </c>
      <c r="F15" s="18"/>
      <c r="G15" s="18"/>
      <c r="H15" s="19"/>
    </row>
    <row r="16" spans="2:8">
      <c r="B16" s="25" t="s">
        <v>31</v>
      </c>
      <c r="C16" s="20" t="s">
        <v>32</v>
      </c>
      <c r="D16" s="20" t="s">
        <v>33</v>
      </c>
      <c r="E16" s="21">
        <v>0.801237083</v>
      </c>
      <c r="F16" s="18">
        <v>1.4875</v>
      </c>
      <c r="G16" s="18"/>
      <c r="H16" s="19"/>
    </row>
    <row r="17" spans="2:8">
      <c r="B17" s="25" t="s">
        <v>34</v>
      </c>
      <c r="C17" s="20"/>
      <c r="D17" s="20" t="s">
        <v>35</v>
      </c>
      <c r="E17" s="28">
        <v>0.9</v>
      </c>
      <c r="F17" s="18" t="s">
        <v>36</v>
      </c>
      <c r="G17" s="18"/>
      <c r="H17" s="19"/>
    </row>
    <row r="18" spans="2:8">
      <c r="B18" s="25" t="s">
        <v>37</v>
      </c>
      <c r="C18" s="20" t="s">
        <v>38</v>
      </c>
      <c r="D18" s="20" t="s">
        <v>39</v>
      </c>
      <c r="E18" s="17">
        <f>E9*E17*24*356</f>
        <v>21992.256</v>
      </c>
      <c r="F18" s="18" t="s">
        <v>40</v>
      </c>
      <c r="G18" s="18"/>
      <c r="H18" s="19"/>
    </row>
    <row r="19" spans="2:8">
      <c r="B19" s="15" t="s">
        <v>41</v>
      </c>
      <c r="C19" s="20" t="s">
        <v>38</v>
      </c>
      <c r="D19" s="20" t="s">
        <v>42</v>
      </c>
      <c r="E19" s="17">
        <f>E18*E11</f>
        <v>37386.8352</v>
      </c>
      <c r="F19" s="18" t="s">
        <v>43</v>
      </c>
      <c r="G19" s="18"/>
      <c r="H19" s="19"/>
    </row>
    <row r="20" spans="2:8">
      <c r="B20" s="25" t="s">
        <v>44</v>
      </c>
      <c r="C20" s="20" t="s">
        <v>45</v>
      </c>
      <c r="D20" s="20" t="s">
        <v>46</v>
      </c>
      <c r="E20" s="17">
        <f>E19*E16</f>
        <v>29955.7187782497</v>
      </c>
      <c r="F20" s="18"/>
      <c r="G20" s="18"/>
      <c r="H20" s="19"/>
    </row>
    <row r="21" spans="2:8">
      <c r="B21" s="25" t="s">
        <v>47</v>
      </c>
      <c r="C21" s="20" t="s">
        <v>45</v>
      </c>
      <c r="D21" s="20" t="s">
        <v>48</v>
      </c>
      <c r="E21" s="17">
        <f>E9*E15*10000</f>
        <v>5033.6</v>
      </c>
      <c r="F21" s="18"/>
      <c r="G21" s="18"/>
      <c r="H21" s="19"/>
    </row>
    <row r="22" spans="2:8">
      <c r="B22" s="25" t="s">
        <v>49</v>
      </c>
      <c r="C22" s="20" t="s">
        <v>45</v>
      </c>
      <c r="D22" s="20" t="s">
        <v>50</v>
      </c>
      <c r="E22" s="17">
        <f>E9*E10*E14/E12*10000</f>
        <v>10486.6666666667</v>
      </c>
      <c r="F22" s="18"/>
      <c r="G22" s="18"/>
      <c r="H22" s="19"/>
    </row>
    <row r="23" spans="2:8">
      <c r="B23" s="25" t="s">
        <v>51</v>
      </c>
      <c r="C23" s="20"/>
      <c r="D23" s="20" t="s">
        <v>52</v>
      </c>
      <c r="E23" s="28">
        <v>0</v>
      </c>
      <c r="F23" s="22"/>
      <c r="G23" s="23"/>
      <c r="H23" s="24"/>
    </row>
    <row r="24" spans="2:8">
      <c r="B24" s="25" t="s">
        <v>53</v>
      </c>
      <c r="C24" s="20" t="s">
        <v>45</v>
      </c>
      <c r="D24" s="20" t="s">
        <v>54</v>
      </c>
      <c r="E24" s="17">
        <f>E23*E10*10000</f>
        <v>0</v>
      </c>
      <c r="F24" s="22"/>
      <c r="G24" s="23"/>
      <c r="H24" s="24"/>
    </row>
    <row r="25" ht="14.75" spans="2:8">
      <c r="B25" s="30" t="s">
        <v>55</v>
      </c>
      <c r="C25" s="31" t="s">
        <v>45</v>
      </c>
      <c r="D25" s="31" t="s">
        <v>56</v>
      </c>
      <c r="E25" s="32">
        <f>E20+E21+E22+(E24*E9)</f>
        <v>45475.9854449164</v>
      </c>
      <c r="F25" s="33"/>
      <c r="G25" s="33"/>
      <c r="H25" s="34"/>
    </row>
    <row r="26" spans="2:8">
      <c r="B26" s="35" t="s">
        <v>57</v>
      </c>
      <c r="C26" s="36" t="s">
        <v>45</v>
      </c>
      <c r="D26" s="37" t="s">
        <v>58</v>
      </c>
      <c r="E26" s="38">
        <f>E25/12</f>
        <v>3789.66545374303</v>
      </c>
      <c r="F26" s="39"/>
      <c r="G26" s="39"/>
      <c r="H26" s="40"/>
    </row>
    <row r="27" spans="2:8">
      <c r="B27" s="25" t="s">
        <v>59</v>
      </c>
      <c r="C27" s="20" t="s">
        <v>45</v>
      </c>
      <c r="D27" s="16" t="s">
        <v>60</v>
      </c>
      <c r="E27" s="41">
        <f>E26/E9</f>
        <v>1325.0578509591</v>
      </c>
      <c r="F27" s="18"/>
      <c r="G27" s="18"/>
      <c r="H27" s="19"/>
    </row>
    <row r="28" ht="14.75" spans="2:8">
      <c r="B28" s="42" t="s">
        <v>61</v>
      </c>
      <c r="C28" s="43" t="s">
        <v>45</v>
      </c>
      <c r="D28" s="44" t="s">
        <v>62</v>
      </c>
      <c r="E28" s="45">
        <f>E27*0.22</f>
        <v>291.512727211002</v>
      </c>
      <c r="F28" s="46"/>
      <c r="G28" s="47"/>
      <c r="H28" s="48"/>
    </row>
    <row r="29" spans="2:8">
      <c r="B29" s="49" t="s">
        <v>63</v>
      </c>
      <c r="C29" s="50" t="s">
        <v>45</v>
      </c>
      <c r="D29" s="11" t="s">
        <v>64</v>
      </c>
      <c r="E29" s="51">
        <f>E22/12/E9</f>
        <v>305.555555555556</v>
      </c>
      <c r="F29" s="13"/>
      <c r="G29" s="13"/>
      <c r="H29" s="14"/>
    </row>
    <row r="30" spans="2:8">
      <c r="B30" s="25" t="s">
        <v>65</v>
      </c>
      <c r="C30" s="20" t="s">
        <v>45</v>
      </c>
      <c r="D30" s="16" t="s">
        <v>66</v>
      </c>
      <c r="E30" s="17">
        <f>E21/12/E9</f>
        <v>146.666666666667</v>
      </c>
      <c r="F30" s="18"/>
      <c r="G30" s="18"/>
      <c r="H30" s="19"/>
    </row>
    <row r="31" spans="2:8">
      <c r="B31" s="25" t="s">
        <v>67</v>
      </c>
      <c r="C31" s="20" t="s">
        <v>45</v>
      </c>
      <c r="D31" s="16" t="s">
        <v>68</v>
      </c>
      <c r="E31" s="17">
        <f>E20/12/E9</f>
        <v>872.83562873688</v>
      </c>
      <c r="F31" s="18"/>
      <c r="G31" s="18"/>
      <c r="H31" s="19"/>
    </row>
    <row r="32" spans="2:8">
      <c r="B32" s="25" t="s">
        <v>69</v>
      </c>
      <c r="C32" s="20" t="s">
        <v>45</v>
      </c>
      <c r="D32" s="16" t="s">
        <v>70</v>
      </c>
      <c r="E32" s="52">
        <f>E24/12</f>
        <v>0</v>
      </c>
      <c r="F32" s="18"/>
      <c r="G32" s="18"/>
      <c r="H32" s="19"/>
    </row>
    <row r="33" spans="2:8">
      <c r="B33" s="53"/>
      <c r="C33" s="31"/>
      <c r="D33" s="54" t="s">
        <v>71</v>
      </c>
      <c r="E33" s="55"/>
      <c r="F33" s="18"/>
      <c r="G33" s="18"/>
      <c r="H33" s="19"/>
    </row>
    <row r="34" ht="14.75" spans="2:8">
      <c r="B34" s="42"/>
      <c r="C34" s="43"/>
      <c r="D34" s="43"/>
      <c r="E34" s="56"/>
      <c r="F34" s="57"/>
      <c r="G34" s="57"/>
      <c r="H34" s="58"/>
    </row>
    <row r="56" spans="7:8">
      <c r="G56" t="s">
        <v>72</v>
      </c>
      <c r="H56" t="s">
        <v>73</v>
      </c>
    </row>
    <row r="57" spans="4:5">
      <c r="D57" t="s">
        <v>74</v>
      </c>
      <c r="E57">
        <v>2</v>
      </c>
    </row>
    <row r="58" spans="4:8">
      <c r="D58" t="s">
        <v>75</v>
      </c>
      <c r="E58">
        <v>0.83</v>
      </c>
      <c r="G58">
        <f>24*365/12*E58*E57</f>
        <v>1211.8</v>
      </c>
      <c r="H58">
        <f>G58/E57/10</f>
        <v>60.59</v>
      </c>
    </row>
    <row r="59" spans="4:8">
      <c r="D59" t="s">
        <v>76</v>
      </c>
      <c r="E59">
        <v>0.9</v>
      </c>
      <c r="G59">
        <f>24*365/12*E59*E57</f>
        <v>1314</v>
      </c>
      <c r="H59">
        <f>G59/E57/10</f>
        <v>65.7</v>
      </c>
    </row>
    <row r="60" spans="4:8">
      <c r="D60" t="s">
        <v>77</v>
      </c>
      <c r="E60">
        <v>1</v>
      </c>
      <c r="G60">
        <f>24*365/12*E60*E57</f>
        <v>1460</v>
      </c>
      <c r="H60">
        <f>G60/E57/10</f>
        <v>73</v>
      </c>
    </row>
    <row r="61" spans="4:8">
      <c r="D61" t="s">
        <v>78</v>
      </c>
      <c r="E61">
        <v>1.2</v>
      </c>
      <c r="G61">
        <f>24*365/12*E61*E57</f>
        <v>1752</v>
      </c>
      <c r="H61">
        <f>G61/E57/10</f>
        <v>87.6</v>
      </c>
    </row>
    <row r="62" spans="5:8">
      <c r="E62">
        <v>1.4876</v>
      </c>
      <c r="G62">
        <f>24*365/12*E62*E57</f>
        <v>2171.896</v>
      </c>
      <c r="H62">
        <f>G62/E57/10</f>
        <v>108.5948</v>
      </c>
    </row>
    <row r="64" spans="13:13">
      <c r="M64" s="60"/>
    </row>
  </sheetData>
  <mergeCells count="30">
    <mergeCell ref="B6:H6"/>
    <mergeCell ref="F7:H7"/>
    <mergeCell ref="F8:H8"/>
    <mergeCell ref="F9:H9"/>
    <mergeCell ref="F10:H10"/>
    <mergeCell ref="F11:H11"/>
    <mergeCell ref="F12:H12"/>
    <mergeCell ref="F13:H13"/>
    <mergeCell ref="F14:H14"/>
    <mergeCell ref="F15:H15"/>
    <mergeCell ref="F16:H16"/>
    <mergeCell ref="F17:H17"/>
    <mergeCell ref="F18:H18"/>
    <mergeCell ref="F19:H19"/>
    <mergeCell ref="F20:H20"/>
    <mergeCell ref="F21:H21"/>
    <mergeCell ref="F22:H22"/>
    <mergeCell ref="F23:H23"/>
    <mergeCell ref="F24:H24"/>
    <mergeCell ref="F25:H25"/>
    <mergeCell ref="F26:H26"/>
    <mergeCell ref="F27:H27"/>
    <mergeCell ref="F28:H28"/>
    <mergeCell ref="F29:H29"/>
    <mergeCell ref="F30:H30"/>
    <mergeCell ref="F31:H31"/>
    <mergeCell ref="F32:H32"/>
    <mergeCell ref="F33:H33"/>
    <mergeCell ref="F34:H34"/>
    <mergeCell ref="B3:H5"/>
  </mergeCells>
  <pageMargins left="0.7" right="0.7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计算公式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wht</dc:creator>
  <cp:lastModifiedBy>群龙无首</cp:lastModifiedBy>
  <dcterms:created xsi:type="dcterms:W3CDTF">2010-01-25T09:45:00Z</dcterms:created>
  <dcterms:modified xsi:type="dcterms:W3CDTF">2022-02-17T14:46:07Z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6BDC2699EA1C459D86DF443A41F97A2D</vt:lpwstr>
  </property>
  <property fmtid="{D5CDD505-2E9C-101B-9397-08002B2CF9AE}" pid="3" name="KSOProductBuildVer">
    <vt:lpwstr>2052-11.1.0.11294</vt:lpwstr>
  </property>
</Properties>
</file>